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nlucalonginotti/Downloads/"/>
    </mc:Choice>
  </mc:AlternateContent>
  <xr:revisionPtr revIDLastSave="0" documentId="13_ncr:1_{486D1FD6-BE0A-E04D-8992-DC58E2AF72AF}" xr6:coauthVersionLast="47" xr6:coauthVersionMax="47" xr10:uidLastSave="{00000000-0000-0000-0000-000000000000}"/>
  <bookViews>
    <workbookView xWindow="3260" yWindow="2160" windowWidth="28040" windowHeight="17440" xr2:uid="{0B8392E6-8828-EC48-9E05-6A498DCD9D73}"/>
  </bookViews>
  <sheets>
    <sheet name="Instructions" sheetId="3" r:id="rId1"/>
    <sheet name="Call Diagram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D5" i="1" a="1"/>
  <c r="D5" i="1" s="1"/>
  <c r="J5" i="1" l="1" a="1"/>
  <c r="J5" i="1" s="1"/>
  <c r="A31" i="1" a="1"/>
  <c r="A31" i="1" s="1"/>
  <c r="A28" i="1" a="1"/>
  <c r="A28" i="1" s="1"/>
  <c r="A33" i="1" a="1"/>
  <c r="A33" i="1" s="1"/>
  <c r="A30" i="1" a="1"/>
  <c r="A30" i="1" s="1"/>
  <c r="A19" i="1" a="1"/>
  <c r="A19" i="1" s="1"/>
  <c r="A18" i="1" a="1"/>
  <c r="A18" i="1" s="1"/>
  <c r="A29" i="1" a="1"/>
  <c r="A29" i="1" s="1"/>
  <c r="A17" i="1" a="1"/>
  <c r="A17" i="1" s="1"/>
  <c r="A25" i="1" a="1"/>
  <c r="A25" i="1" s="1"/>
  <c r="A24" i="1" a="1"/>
  <c r="A24" i="1" s="1"/>
  <c r="A20" i="1" a="1"/>
  <c r="A20" i="1" s="1"/>
  <c r="A16" i="1" a="1"/>
  <c r="A16" i="1" s="1"/>
  <c r="A35" i="1" a="1"/>
  <c r="A35" i="1" s="1"/>
  <c r="A32" i="1" a="1"/>
  <c r="A32" i="1" s="1"/>
  <c r="A26" i="1" a="1"/>
  <c r="A26" i="1" s="1"/>
  <c r="A21" i="1" a="1"/>
  <c r="A21" i="1" s="1"/>
  <c r="J6" i="1" a="1"/>
  <c r="J6" i="1" s="1"/>
  <c r="A27" i="1" a="1"/>
  <c r="A27" i="1" s="1"/>
  <c r="B27" i="1" s="1"/>
  <c r="A23" i="1" a="1"/>
  <c r="A23" i="1" s="1"/>
  <c r="A34" i="1" a="1"/>
  <c r="A34" i="1" s="1"/>
  <c r="A22" i="1" a="1"/>
  <c r="A22" i="1" s="1"/>
  <c r="B22" i="1" s="1"/>
  <c r="B23" i="1" l="1"/>
  <c r="B28" i="1"/>
  <c r="B33" i="1"/>
  <c r="B30" i="1"/>
  <c r="B19" i="1"/>
  <c r="B18" i="1"/>
  <c r="B25" i="1"/>
  <c r="B20" i="1"/>
  <c r="B35" i="1"/>
  <c r="B32" i="1"/>
  <c r="B26" i="1"/>
  <c r="B24" i="1"/>
  <c r="B17" i="1"/>
  <c r="B29" i="1"/>
  <c r="B31" i="1"/>
  <c r="B21" i="1"/>
  <c r="B34" i="1"/>
  <c r="B16" i="1"/>
  <c r="C17" i="1"/>
  <c r="C29" i="1"/>
  <c r="C30" i="1"/>
  <c r="C31" i="1"/>
  <c r="C32" i="1"/>
  <c r="C33" i="1"/>
  <c r="C34" i="1"/>
  <c r="C35" i="1"/>
  <c r="C16" i="1"/>
  <c r="C28" i="1"/>
  <c r="C27" i="1"/>
  <c r="C26" i="1"/>
  <c r="C25" i="1"/>
  <c r="C24" i="1"/>
  <c r="C23" i="1"/>
  <c r="C22" i="1"/>
  <c r="C21" i="1"/>
  <c r="C20" i="1"/>
  <c r="C19" i="1"/>
  <c r="C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<sst xmlns="http://schemas.openxmlformats.org/spreadsheetml/2006/main" count="20" uniqueCount="20">
  <si>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Ticker</t>
  </si>
  <si>
    <t>Expiration Date</t>
  </si>
  <si>
    <t>Strike Price</t>
  </si>
  <si>
    <t>AAPL</t>
  </si>
  <si>
    <t>Price</t>
  </si>
  <si>
    <t>Bid</t>
  </si>
  <si>
    <t>Ask</t>
  </si>
  <si>
    <t>Underlying price</t>
  </si>
  <si>
    <t>Long Call P&amp;L</t>
  </si>
  <si>
    <t>Short Call P&amp;L</t>
  </si>
  <si>
    <t>Rolling Options Template</t>
  </si>
  <si>
    <t>Links:</t>
  </si>
  <si>
    <t>Option Samurai</t>
  </si>
  <si>
    <t>Installation help</t>
  </si>
  <si>
    <t>Excel integration help article</t>
  </si>
  <si>
    <t>Blog post about this template</t>
  </si>
  <si>
    <t>Description</t>
  </si>
  <si>
    <t>Instructions</t>
  </si>
  <si>
    <t>This Excel template is designed to help you visualize and understand the profit and loss profile of basic call option positions at expiration.
Given a single option contract (long call or short call), the template calculates the payoff across a range of underlying prices, allowing you to see how profits and losses evolve as the stock price changes. By displaying long and short call P&amp;L side by side, the sheet makes it easy to compare risk, reward, and breakeven levels for each position.</t>
  </si>
  <si>
    <t>1. Enter the option details in the input section at the top of the sheet:
        - Ticker
        - Current underlying price
        - Strike price
        - Option bid and ask prices
2. In the payoff table, you will see the range of underlying prices under the "Underlying Price" column.
3. The Long Call P&amp;L column automatically computes the profit or loss at expiration assuming the option is bought at the ask price.
4. The Short Call P&amp;L column automatically computes the profit or loss at expiration assuming the option is sold at the bid price.
5. Review the results to identify:
        - Maximum profit and maximum loss
        - Breakeven price
        - How P&amp;L changes as the underlying moves above or below the strike
6. (Optional) Use the data to create a payoff chart for a visual representation of the strategy’s risk and reward profile.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</si>
</sst>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13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40B8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40B8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/>
  </cellStyleXfs>
  <cellXfs count="49">
    <xf numFmtId="0" fontId="0" fillId="0" borderId="0" xfId="0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0" xfId="0" applyFont="1" applyFill="1"/>
    <xf numFmtId="0" fontId="3" fillId="3" borderId="6" xfId="0" applyFont="1" applyFill="1" applyBorder="1"/>
    <xf numFmtId="0" fontId="3" fillId="3" borderId="1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1" fillId="3" borderId="1" xfId="0" applyFont="1" applyFill="1" applyBorder="1"/>
    <xf numFmtId="0" fontId="5" fillId="3" borderId="10" xfId="0" applyFont="1" applyFill="1" applyBorder="1"/>
    <xf numFmtId="164" fontId="3" fillId="3" borderId="10" xfId="0" applyNumberFormat="1" applyFont="1" applyFill="1" applyBorder="1"/>
    <xf numFmtId="0" fontId="4" fillId="3" borderId="12" xfId="0" applyFont="1" applyFill="1" applyBorder="1"/>
    <xf numFmtId="0" fontId="0" fillId="4" borderId="1" xfId="0" applyFill="1" applyBorder="1"/>
    <xf numFmtId="14" fontId="0" fillId="4" borderId="1" xfId="0" applyNumberFormat="1" applyFill="1" applyBorder="1"/>
    <xf numFmtId="164" fontId="0" fillId="4" borderId="1" xfId="0" applyNumberFormat="1" applyFill="1" applyBorder="1"/>
    <xf numFmtId="164" fontId="3" fillId="3" borderId="12" xfId="0" applyNumberFormat="1" applyFont="1" applyFill="1" applyBorder="1"/>
    <xf numFmtId="0" fontId="7" fillId="3" borderId="0" xfId="0" applyFont="1" applyFill="1"/>
    <xf numFmtId="0" fontId="4" fillId="3" borderId="14" xfId="0" applyFont="1" applyFill="1" applyBorder="1"/>
    <xf numFmtId="164" fontId="3" fillId="3" borderId="14" xfId="0" applyNumberFormat="1" applyFont="1" applyFill="1" applyBorder="1"/>
    <xf numFmtId="0" fontId="2" fillId="0" borderId="0" xfId="0" applyFont="1"/>
    <xf numFmtId="0" fontId="1" fillId="3" borderId="2" xfId="0" applyFont="1" applyFill="1" applyBorder="1"/>
    <xf numFmtId="164" fontId="0" fillId="2" borderId="15" xfId="0" applyNumberFormat="1" applyFill="1" applyBorder="1"/>
    <xf numFmtId="164" fontId="0" fillId="2" borderId="13" xfId="0" applyNumberFormat="1" applyFill="1" applyBorder="1"/>
    <xf numFmtId="164" fontId="0" fillId="2" borderId="14" xfId="0" applyNumberFormat="1" applyFill="1" applyBorder="1"/>
    <xf numFmtId="0" fontId="1" fillId="3" borderId="3" xfId="0" applyFont="1" applyFill="1" applyBorder="1"/>
    <xf numFmtId="0" fontId="1" fillId="3" borderId="4" xfId="0" applyFont="1" applyFill="1" applyBorder="1"/>
    <xf numFmtId="164" fontId="0" fillId="2" borderId="16" xfId="0" applyNumberFormat="1" applyFill="1" applyBorder="1"/>
    <xf numFmtId="164" fontId="0" fillId="2" borderId="11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164" fontId="0" fillId="2" borderId="19" xfId="0" applyNumberFormat="1" applyFill="1" applyBorder="1"/>
    <xf numFmtId="0" fontId="8" fillId="5" borderId="0" xfId="2" applyFill="1"/>
    <xf numFmtId="10" fontId="8" fillId="5" borderId="0" xfId="2" applyNumberFormat="1" applyFill="1"/>
    <xf numFmtId="3" fontId="8" fillId="5" borderId="0" xfId="2" applyNumberFormat="1" applyFill="1"/>
    <xf numFmtId="0" fontId="8" fillId="7" borderId="0" xfId="2" applyFill="1"/>
    <xf numFmtId="10" fontId="8" fillId="7" borderId="0" xfId="2" applyNumberFormat="1" applyFill="1"/>
    <xf numFmtId="3" fontId="8" fillId="7" borderId="0" xfId="2" applyNumberFormat="1" applyFill="1"/>
    <xf numFmtId="0" fontId="10" fillId="7" borderId="0" xfId="2" applyFont="1" applyFill="1"/>
    <xf numFmtId="0" fontId="11" fillId="7" borderId="0" xfId="3" applyFill="1"/>
    <xf numFmtId="10" fontId="11" fillId="7" borderId="0" xfId="3" applyNumberFormat="1" applyFill="1"/>
    <xf numFmtId="0" fontId="8" fillId="5" borderId="0" xfId="2" applyFill="1" applyAlignment="1">
      <alignment horizontal="left" vertical="center" wrapText="1"/>
    </xf>
    <xf numFmtId="0" fontId="8" fillId="5" borderId="0" xfId="2" applyFill="1" applyAlignment="1">
      <alignment vertical="center" wrapText="1"/>
    </xf>
    <xf numFmtId="0" fontId="6" fillId="7" borderId="0" xfId="1" applyFill="1"/>
    <xf numFmtId="0" fontId="8" fillId="5" borderId="0" xfId="2" applyFill="1" applyAlignment="1">
      <alignment horizontal="left" vertical="center" wrapText="1"/>
    </xf>
    <xf numFmtId="0" fontId="9" fillId="6" borderId="0" xfId="2" applyFont="1" applyFill="1" applyAlignment="1">
      <alignment horizontal="center" vertical="center"/>
    </xf>
    <xf numFmtId="0" fontId="12" fillId="6" borderId="0" xfId="2" applyFont="1" applyFill="1" applyAlignment="1">
      <alignment horizontal="center"/>
    </xf>
  </cellXfs>
  <cellStyles count="4">
    <cellStyle name="Hyperlink" xfId="1" builtinId="8"/>
    <cellStyle name="Hyperlink 2" xfId="3" xr:uid="{F696E32B-AD80-1647-A4C5-3478C918C114}"/>
    <cellStyle name="Normal" xfId="0" builtinId="0"/>
    <cellStyle name="Normal 2" xfId="2" xr:uid="{CCFB4332-47E6-E64F-93FE-BDA54B1257FB}"/>
  </cellStyles>
  <dxfs count="0"/>
  <tableStyles count="0" defaultTableStyle="TableStyleMedium2" defaultPivotStyle="PivotStyleLight16"/>
  <colors>
    <mruColors>
      <color rgb="FF40B8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>
                <a:solidFill>
                  <a:schemeClr val="bg1"/>
                </a:solidFill>
              </a:rPr>
              <a:t>Long Call P&amp;L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'Call Diagram'!$B$15</c:f>
              <c:strCache>
                <c:ptCount val="1"/>
                <c:pt idx="0">
                  <c:v>Long Call P&amp;L</c:v>
                </c:pt>
              </c:strCache>
            </c:strRef>
          </c:tx>
          <c:spPr>
            <a:ln w="28575" cap="rnd">
              <a:solidFill>
                <a:schemeClr val="bg1"/>
              </a:solidFill>
              <a:round/>
            </a:ln>
            <a:effectLst/>
          </c:spPr>
          <c:marker>
            <c:symbol val="none"/>
          </c:marker>
          <c:cat>
            <c:numRef>
              <c:f>'Call Diagram'!$A$16:$A$35</c:f>
              <c:numCache>
                <c:formatCode>_-[$$-409]* #,##0.00_ ;_-[$$-409]* \-#,##0.00\ ;_-[$$-409]* "-"??_ ;_-@_ </c:formatCode>
                <c:ptCount val="20"/>
                <c:pt idx="0">
                  <c:v>175</c:v>
                </c:pt>
                <c:pt idx="1">
                  <c:v>180</c:v>
                </c:pt>
                <c:pt idx="2">
                  <c:v>185</c:v>
                </c:pt>
                <c:pt idx="3">
                  <c:v>190</c:v>
                </c:pt>
                <c:pt idx="4">
                  <c:v>195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240</c:v>
                </c:pt>
                <c:pt idx="10">
                  <c:v>250</c:v>
                </c:pt>
                <c:pt idx="11">
                  <c:v>260</c:v>
                </c:pt>
                <c:pt idx="12">
                  <c:v>270</c:v>
                </c:pt>
                <c:pt idx="13">
                  <c:v>280</c:v>
                </c:pt>
                <c:pt idx="14">
                  <c:v>290</c:v>
                </c:pt>
                <c:pt idx="15">
                  <c:v>300</c:v>
                </c:pt>
                <c:pt idx="16">
                  <c:v>310</c:v>
                </c:pt>
                <c:pt idx="17">
                  <c:v>320</c:v>
                </c:pt>
                <c:pt idx="18">
                  <c:v>330</c:v>
                </c:pt>
                <c:pt idx="19">
                  <c:v>340</c:v>
                </c:pt>
              </c:numCache>
            </c:numRef>
          </c:cat>
          <c:val>
            <c:numRef>
              <c:f>'Call Diagram'!$B$16:$B$35</c:f>
              <c:numCache>
                <c:formatCode>_-[$$-409]* #,##0.00_ ;_-[$$-409]* \-#,##0.00\ ;_-[$$-409]* "-"??_ ;_-@_ </c:formatCode>
                <c:ptCount val="20"/>
                <c:pt idx="0">
                  <c:v>-2475</c:v>
                </c:pt>
                <c:pt idx="1">
                  <c:v>-2475</c:v>
                </c:pt>
                <c:pt idx="2">
                  <c:v>-2475</c:v>
                </c:pt>
                <c:pt idx="3">
                  <c:v>-2475</c:v>
                </c:pt>
                <c:pt idx="4">
                  <c:v>-2475</c:v>
                </c:pt>
                <c:pt idx="5">
                  <c:v>-2475</c:v>
                </c:pt>
                <c:pt idx="6">
                  <c:v>-2475</c:v>
                </c:pt>
                <c:pt idx="7">
                  <c:v>-2475</c:v>
                </c:pt>
                <c:pt idx="8">
                  <c:v>-2475</c:v>
                </c:pt>
                <c:pt idx="9">
                  <c:v>-2475</c:v>
                </c:pt>
                <c:pt idx="10">
                  <c:v>-2475</c:v>
                </c:pt>
                <c:pt idx="11">
                  <c:v>-2475</c:v>
                </c:pt>
                <c:pt idx="12">
                  <c:v>-1475</c:v>
                </c:pt>
                <c:pt idx="13">
                  <c:v>-475</c:v>
                </c:pt>
                <c:pt idx="14">
                  <c:v>525</c:v>
                </c:pt>
                <c:pt idx="15">
                  <c:v>1525</c:v>
                </c:pt>
                <c:pt idx="16">
                  <c:v>2525</c:v>
                </c:pt>
                <c:pt idx="17">
                  <c:v>3525</c:v>
                </c:pt>
                <c:pt idx="18">
                  <c:v>4525</c:v>
                </c:pt>
                <c:pt idx="19">
                  <c:v>5525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E7-5C40-8CF1-3CAB0D3DB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578191"/>
        <c:axId val="1053579903"/>
      </c:lineChart>
      <c:catAx>
        <c:axId val="1053578191"/>
        <c:scaling>
          <c:orientation val="minMax"/>
        </c:scaling>
        <c:delete val="0"/>
        <c:axPos val="b"/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9903"/>
        <c:crosses val="autoZero"/>
        <c:auto val="1"/>
        <c:lblAlgn val="ctr"/>
        <c:lblOffset val="100"/>
        <c:noMultiLvlLbl val="0"/>
      </c:catAx>
      <c:valAx>
        <c:axId val="105357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0B879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u="sng">
                <a:solidFill>
                  <a:schemeClr val="bg1"/>
                </a:solidFill>
              </a:rPr>
              <a:t>Short Call P&amp;L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'Call Diagram'!$B$15</c:f>
              <c:strCache>
                <c:ptCount val="1"/>
                <c:pt idx="0">
                  <c:v>Long Call P&amp;L</c:v>
                </c:pt>
              </c:strCache>
            </c:strRef>
          </c:tx>
          <c:spPr>
            <a:ln w="28575" cap="rnd">
              <a:solidFill>
                <a:schemeClr val="bg1"/>
              </a:solidFill>
              <a:round/>
            </a:ln>
            <a:effectLst/>
          </c:spPr>
          <c:marker>
            <c:symbol val="none"/>
          </c:marker>
          <c:cat>
            <c:numRef>
              <c:f>'Call Diagram'!$A$16:$A$35</c:f>
              <c:numCache>
                <c:formatCode>_-[$$-409]* #,##0.00_ ;_-[$$-409]* \-#,##0.00\ ;_-[$$-409]* "-"??_ ;_-@_ </c:formatCode>
                <c:ptCount val="20"/>
                <c:pt idx="0">
                  <c:v>175</c:v>
                </c:pt>
                <c:pt idx="1">
                  <c:v>180</c:v>
                </c:pt>
                <c:pt idx="2">
                  <c:v>185</c:v>
                </c:pt>
                <c:pt idx="3">
                  <c:v>190</c:v>
                </c:pt>
                <c:pt idx="4">
                  <c:v>195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240</c:v>
                </c:pt>
                <c:pt idx="10">
                  <c:v>250</c:v>
                </c:pt>
                <c:pt idx="11">
                  <c:v>260</c:v>
                </c:pt>
                <c:pt idx="12">
                  <c:v>270</c:v>
                </c:pt>
                <c:pt idx="13">
                  <c:v>280</c:v>
                </c:pt>
                <c:pt idx="14">
                  <c:v>290</c:v>
                </c:pt>
                <c:pt idx="15">
                  <c:v>300</c:v>
                </c:pt>
                <c:pt idx="16">
                  <c:v>310</c:v>
                </c:pt>
                <c:pt idx="17">
                  <c:v>320</c:v>
                </c:pt>
                <c:pt idx="18">
                  <c:v>330</c:v>
                </c:pt>
                <c:pt idx="19">
                  <c:v>340</c:v>
                </c:pt>
              </c:numCache>
            </c:numRef>
          </c:cat>
          <c:val>
            <c:numRef>
              <c:f>'Call Diagram'!$C$16:$C$35</c:f>
              <c:numCache>
                <c:formatCode>_-[$$-409]* #,##0.00_ ;_-[$$-409]* \-#,##0.00\ ;_-[$$-409]* "-"??_ ;_-@_ </c:formatCode>
                <c:ptCount val="20"/>
                <c:pt idx="0">
                  <c:v>2450</c:v>
                </c:pt>
                <c:pt idx="1">
                  <c:v>2450</c:v>
                </c:pt>
                <c:pt idx="2">
                  <c:v>2450</c:v>
                </c:pt>
                <c:pt idx="3">
                  <c:v>2450</c:v>
                </c:pt>
                <c:pt idx="4">
                  <c:v>2450</c:v>
                </c:pt>
                <c:pt idx="5">
                  <c:v>2450</c:v>
                </c:pt>
                <c:pt idx="6">
                  <c:v>2450</c:v>
                </c:pt>
                <c:pt idx="7">
                  <c:v>2450</c:v>
                </c:pt>
                <c:pt idx="8">
                  <c:v>2450</c:v>
                </c:pt>
                <c:pt idx="9">
                  <c:v>2450</c:v>
                </c:pt>
                <c:pt idx="10">
                  <c:v>2450</c:v>
                </c:pt>
                <c:pt idx="11">
                  <c:v>2450</c:v>
                </c:pt>
                <c:pt idx="12">
                  <c:v>1450</c:v>
                </c:pt>
                <c:pt idx="13">
                  <c:v>450</c:v>
                </c:pt>
                <c:pt idx="14">
                  <c:v>-550</c:v>
                </c:pt>
                <c:pt idx="15">
                  <c:v>-1550</c:v>
                </c:pt>
                <c:pt idx="16">
                  <c:v>-2550</c:v>
                </c:pt>
                <c:pt idx="17">
                  <c:v>-3550</c:v>
                </c:pt>
                <c:pt idx="18">
                  <c:v>-4550</c:v>
                </c:pt>
                <c:pt idx="19">
                  <c:v>-5550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7E-0347-AE93-6DEF2162F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578191"/>
        <c:axId val="1053579903"/>
      </c:lineChart>
      <c:catAx>
        <c:axId val="1053578191"/>
        <c:scaling>
          <c:orientation val="minMax"/>
        </c:scaling>
        <c:delete val="0"/>
        <c:axPos val="b"/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9903"/>
        <c:crosses val="autoZero"/>
        <c:auto val="1"/>
        <c:lblAlgn val="ctr"/>
        <c:lblOffset val="100"/>
        <c:noMultiLvlLbl val="0"/>
      </c:catAx>
      <c:valAx>
        <c:axId val="105357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IT"/>
          </a:p>
        </c:txPr>
        <c:crossAx val="105357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0B879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190447</xdr:rowOff>
    </xdr:from>
    <xdr:to>
      <xdr:col>3</xdr:col>
      <xdr:colOff>104775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3A1760-04E9-BE40-97F5-620533F28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190447"/>
          <a:ext cx="2000249" cy="3810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12</xdr:row>
      <xdr:rowOff>69850</xdr:rowOff>
    </xdr:from>
    <xdr:to>
      <xdr:col>8</xdr:col>
      <xdr:colOff>774700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B0A72F-6CE2-C770-C269-767E5E03F9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76200</xdr:colOff>
      <xdr:row>12</xdr:row>
      <xdr:rowOff>63500</xdr:rowOff>
    </xdr:from>
    <xdr:to>
      <xdr:col>15</xdr:col>
      <xdr:colOff>279400</xdr:colOff>
      <xdr:row>36</xdr:row>
      <xdr:rowOff>196850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45CFBFA-5D80-0944-93E5-435329832D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B437DF6-A207-5B45-8FCF-0E2F5939BC80}">
  <we:reference id="5c1926c6-e184-4b7b-ab86-fb3254b07aeb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_xldudf_OPTIONSAMURAI_STOCK</we:customFunctionIds>
        <we:customFunctionIds>_xldudf_OPTIONSAMURAI_OPTION</we:customFunctionIds>
        <we:customFunctionIds>_xldudf_OPTIONSAMURAI_HEADER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amurai.froged.help/docs/en/2202695-installing-excelgoogle-sheet-plugin" TargetMode="External"/><Relationship Id="rId2" Type="http://schemas.openxmlformats.org/officeDocument/2006/relationships/hyperlink" Target="https://samurai.froged.help/docs/en/89714462-excel--google-sheets-integration" TargetMode="External"/><Relationship Id="rId1" Type="http://schemas.openxmlformats.org/officeDocument/2006/relationships/hyperlink" Target="https://optionsamurai.com/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optionsamurai.com/blog/call-option-payoff-diagra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EFD65-3BE8-254F-9DCE-4994C510BAC1}">
  <dimension ref="A4:Z64"/>
  <sheetViews>
    <sheetView tabSelected="1" workbookViewId="0"/>
  </sheetViews>
  <sheetFormatPr baseColWidth="10" defaultColWidth="9.1640625" defaultRowHeight="15" x14ac:dyDescent="0.2"/>
  <cols>
    <col min="1" max="16384" width="9.1640625" style="34"/>
  </cols>
  <sheetData>
    <row r="4" spans="1:26" x14ac:dyDescent="0.2">
      <c r="G4" s="35"/>
      <c r="I4" s="36"/>
      <c r="J4" s="35"/>
      <c r="L4" s="35"/>
      <c r="M4" s="35"/>
      <c r="N4" s="35"/>
      <c r="P4" s="36"/>
    </row>
    <row r="5" spans="1:26" x14ac:dyDescent="0.2">
      <c r="A5" s="47" t="s">
        <v>10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35"/>
      <c r="P5" s="36"/>
    </row>
    <row r="6" spans="1:26" x14ac:dyDescent="0.2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26" x14ac:dyDescent="0.2">
      <c r="A7" s="37"/>
      <c r="B7" s="37"/>
      <c r="C7" s="37"/>
      <c r="D7" s="37"/>
      <c r="E7" s="37"/>
      <c r="F7" s="37"/>
      <c r="G7" s="38"/>
      <c r="H7" s="37"/>
      <c r="I7" s="39"/>
      <c r="J7" s="38"/>
      <c r="K7" s="37"/>
      <c r="L7" s="37"/>
      <c r="M7" s="37"/>
    </row>
    <row r="8" spans="1:26" x14ac:dyDescent="0.2">
      <c r="A8" s="37"/>
      <c r="B8" s="40" t="s">
        <v>11</v>
      </c>
      <c r="C8" s="37"/>
      <c r="D8" s="41" t="s">
        <v>12</v>
      </c>
      <c r="E8" s="37"/>
      <c r="F8" s="37"/>
      <c r="G8" s="38"/>
      <c r="H8" s="37"/>
      <c r="I8" s="41" t="s">
        <v>13</v>
      </c>
      <c r="J8" s="38"/>
      <c r="K8" s="37"/>
      <c r="L8" s="38"/>
      <c r="M8" s="38"/>
      <c r="N8" s="35"/>
      <c r="P8" s="36"/>
    </row>
    <row r="9" spans="1:26" ht="16" x14ac:dyDescent="0.2">
      <c r="A9" s="37"/>
      <c r="B9" s="37"/>
      <c r="C9" s="37"/>
      <c r="D9" s="42" t="s">
        <v>14</v>
      </c>
      <c r="E9" s="37"/>
      <c r="F9" s="37"/>
      <c r="G9" s="37"/>
      <c r="H9" s="37"/>
      <c r="I9" s="45" t="s">
        <v>15</v>
      </c>
      <c r="J9" s="38"/>
      <c r="K9" s="37"/>
      <c r="L9" s="38"/>
      <c r="M9" s="38"/>
      <c r="N9" s="35"/>
      <c r="P9" s="36"/>
    </row>
    <row r="10" spans="1:26" x14ac:dyDescent="0.2">
      <c r="A10" s="37"/>
      <c r="B10" s="37"/>
      <c r="C10" s="37"/>
      <c r="D10" s="37"/>
      <c r="E10" s="37"/>
      <c r="F10" s="37"/>
      <c r="G10" s="38"/>
      <c r="H10" s="37"/>
      <c r="I10" s="37"/>
      <c r="J10" s="38"/>
      <c r="K10" s="37"/>
      <c r="L10" s="38"/>
      <c r="M10" s="38"/>
      <c r="N10" s="35"/>
      <c r="P10" s="36"/>
    </row>
    <row r="11" spans="1:26" x14ac:dyDescent="0.2">
      <c r="G11" s="35"/>
      <c r="I11" s="36"/>
      <c r="J11" s="35"/>
      <c r="L11" s="35"/>
      <c r="M11" s="35"/>
      <c r="N11" s="35"/>
      <c r="P11" s="36"/>
    </row>
    <row r="12" spans="1:26" ht="19" x14ac:dyDescent="0.25">
      <c r="A12" s="48" t="s">
        <v>16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</row>
    <row r="14" spans="1:26" ht="15" customHeight="1" x14ac:dyDescent="0.2">
      <c r="B14" s="46" t="s">
        <v>18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x14ac:dyDescent="0.2"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x14ac:dyDescent="0.2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5"/>
      <c r="N16" s="35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x14ac:dyDescent="0.2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35"/>
      <c r="N17" s="35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x14ac:dyDescent="0.2"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35"/>
      <c r="N18" s="35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x14ac:dyDescent="0.2"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35"/>
      <c r="N19" s="35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x14ac:dyDescent="0.2"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35"/>
      <c r="N20" s="35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x14ac:dyDescent="0.2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35"/>
      <c r="N21" s="35"/>
      <c r="P21" s="36"/>
    </row>
    <row r="22" spans="1:26" ht="19" x14ac:dyDescent="0.25">
      <c r="A22" s="48" t="s">
        <v>17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35"/>
      <c r="P22" s="36"/>
    </row>
    <row r="23" spans="1:26" x14ac:dyDescent="0.2">
      <c r="G23" s="35"/>
      <c r="I23" s="36"/>
      <c r="J23" s="35"/>
      <c r="L23" s="35"/>
      <c r="M23" s="35"/>
      <c r="N23" s="35"/>
      <c r="P23" s="36"/>
    </row>
    <row r="24" spans="1:26" ht="15" customHeight="1" x14ac:dyDescent="0.2">
      <c r="B24" s="46" t="s">
        <v>19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35"/>
      <c r="N24" s="35"/>
      <c r="P24" s="36"/>
    </row>
    <row r="25" spans="1:26" x14ac:dyDescent="0.2"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</row>
    <row r="26" spans="1:26" x14ac:dyDescent="0.2"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</row>
    <row r="27" spans="1:26" x14ac:dyDescent="0.2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</row>
    <row r="28" spans="1:26" x14ac:dyDescent="0.2"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</row>
    <row r="29" spans="1:26" x14ac:dyDescent="0.2"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35"/>
      <c r="N29" s="35"/>
      <c r="P29" s="36"/>
    </row>
    <row r="30" spans="1:26" x14ac:dyDescent="0.2"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35"/>
      <c r="N30" s="35"/>
      <c r="P30" s="36"/>
    </row>
    <row r="31" spans="1:26" x14ac:dyDescent="0.2"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35"/>
      <c r="N31" s="35"/>
      <c r="P31" s="36"/>
    </row>
    <row r="32" spans="1:26" x14ac:dyDescent="0.2"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35"/>
      <c r="N32" s="35"/>
      <c r="P32" s="36"/>
    </row>
    <row r="33" spans="2:16" x14ac:dyDescent="0.2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</row>
    <row r="34" spans="2:16" x14ac:dyDescent="0.2"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</row>
    <row r="35" spans="2:16" x14ac:dyDescent="0.2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</row>
    <row r="36" spans="2:16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</row>
    <row r="37" spans="2:16" x14ac:dyDescent="0.2"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35"/>
      <c r="N37" s="35"/>
      <c r="P37" s="36"/>
    </row>
    <row r="38" spans="2:16" x14ac:dyDescent="0.2"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</row>
    <row r="39" spans="2:16" x14ac:dyDescent="0.2"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</row>
    <row r="40" spans="2:16" x14ac:dyDescent="0.2"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</row>
    <row r="41" spans="2:16" x14ac:dyDescent="0.2"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35"/>
      <c r="N41" s="35"/>
      <c r="P41" s="36"/>
    </row>
    <row r="42" spans="2:16" x14ac:dyDescent="0.2"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</row>
    <row r="43" spans="2:16" x14ac:dyDescent="0.2"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2:16" x14ac:dyDescent="0.2"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</row>
    <row r="45" spans="2:16" x14ac:dyDescent="0.2"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</row>
    <row r="46" spans="2:16" x14ac:dyDescent="0.2"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2:16" x14ac:dyDescent="0.2"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2:16" x14ac:dyDescent="0.2"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35"/>
      <c r="N48" s="35"/>
      <c r="P48" s="36"/>
    </row>
    <row r="49" spans="2:16" x14ac:dyDescent="0.2"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</row>
    <row r="50" spans="2:16" x14ac:dyDescent="0.2"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35"/>
      <c r="N50" s="35"/>
      <c r="P50" s="36"/>
    </row>
    <row r="51" spans="2:16" x14ac:dyDescent="0.2"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</row>
    <row r="52" spans="2:16" x14ac:dyDescent="0.2"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</row>
    <row r="53" spans="2:16" x14ac:dyDescent="0.2"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35"/>
      <c r="N53" s="35"/>
      <c r="P53" s="36"/>
    </row>
    <row r="54" spans="2:16" x14ac:dyDescent="0.2">
      <c r="G54" s="35"/>
      <c r="I54" s="36"/>
      <c r="J54" s="35"/>
    </row>
    <row r="55" spans="2:16" x14ac:dyDescent="0.2">
      <c r="G55" s="35"/>
      <c r="I55" s="36"/>
      <c r="J55" s="35"/>
    </row>
    <row r="56" spans="2:16" x14ac:dyDescent="0.2">
      <c r="G56" s="35"/>
      <c r="I56" s="36"/>
      <c r="J56" s="35"/>
      <c r="L56" s="35"/>
      <c r="M56" s="35"/>
      <c r="N56" s="35"/>
      <c r="P56" s="36"/>
    </row>
    <row r="57" spans="2:16" x14ac:dyDescent="0.2">
      <c r="G57" s="35"/>
      <c r="I57" s="36"/>
      <c r="J57" s="35"/>
    </row>
    <row r="58" spans="2:16" x14ac:dyDescent="0.2">
      <c r="G58" s="35"/>
      <c r="I58" s="36"/>
      <c r="J58" s="35"/>
    </row>
    <row r="59" spans="2:16" x14ac:dyDescent="0.2">
      <c r="G59" s="35"/>
      <c r="I59" s="36"/>
      <c r="J59" s="35"/>
      <c r="L59" s="35"/>
      <c r="M59" s="35"/>
      <c r="N59" s="35"/>
      <c r="P59" s="36"/>
    </row>
    <row r="60" spans="2:16" x14ac:dyDescent="0.2">
      <c r="G60" s="35"/>
      <c r="I60" s="36"/>
      <c r="J60" s="35"/>
    </row>
    <row r="61" spans="2:16" x14ac:dyDescent="0.2">
      <c r="G61" s="35"/>
      <c r="I61" s="36"/>
      <c r="J61" s="35"/>
    </row>
    <row r="62" spans="2:16" x14ac:dyDescent="0.2">
      <c r="G62" s="35"/>
      <c r="I62" s="36"/>
      <c r="J62" s="35"/>
    </row>
    <row r="63" spans="2:16" x14ac:dyDescent="0.2">
      <c r="G63" s="35"/>
      <c r="I63" s="36"/>
      <c r="J63" s="35"/>
    </row>
    <row r="64" spans="2:16" x14ac:dyDescent="0.2">
      <c r="G64" s="35"/>
      <c r="I64" s="36"/>
      <c r="J64" s="35"/>
    </row>
  </sheetData>
  <mergeCells count="6">
    <mergeCell ref="B24:L41"/>
    <mergeCell ref="A5:M6"/>
    <mergeCell ref="A12:M12"/>
    <mergeCell ref="B14:L20"/>
    <mergeCell ref="P14:Z18"/>
    <mergeCell ref="A22:M22"/>
  </mergeCells>
  <hyperlinks>
    <hyperlink ref="D8" r:id="rId1" xr:uid="{41016C2A-1884-F14E-9596-39466C3B9221}"/>
    <hyperlink ref="D9" r:id="rId2" xr:uid="{2BF8838C-DA20-C149-882F-AEC38E5ECD61}"/>
    <hyperlink ref="I8" r:id="rId3" xr:uid="{3A904455-798D-0647-A2BE-CBDF3C08731B}"/>
    <hyperlink ref="I9" r:id="rId4" xr:uid="{C21D9EF7-786B-B543-BD9F-60C4BE6F1CDE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4DFB7-A6CD-574C-BBB7-B0EF95F302A1}">
  <dimension ref="A1:L35"/>
  <sheetViews>
    <sheetView workbookViewId="0"/>
  </sheetViews>
  <sheetFormatPr baseColWidth="10" defaultRowHeight="16" x14ac:dyDescent="0.2"/>
  <cols>
    <col min="1" max="1" width="14.5" bestFit="1" customWidth="1"/>
    <col min="2" max="2" width="12.1640625" bestFit="1" customWidth="1"/>
    <col min="3" max="3" width="12.6640625" bestFit="1" customWidth="1"/>
    <col min="6" max="6" width="14.5" customWidth="1"/>
    <col min="7" max="7" width="13" customWidth="1"/>
  </cols>
  <sheetData>
    <row r="1" spans="1:12" ht="17" thickBot="1" x14ac:dyDescent="0.25"/>
    <row r="2" spans="1:12" x14ac:dyDescent="0.2">
      <c r="B2" s="1"/>
      <c r="C2" s="2"/>
      <c r="D2" s="2"/>
      <c r="E2" s="2"/>
      <c r="F2" s="2"/>
      <c r="G2" s="2"/>
      <c r="H2" s="2"/>
      <c r="I2" s="2"/>
      <c r="J2" s="2"/>
      <c r="K2" s="2"/>
      <c r="L2" s="3"/>
    </row>
    <row r="3" spans="1:12" ht="17" thickBot="1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6"/>
    </row>
    <row r="4" spans="1:12" ht="17" thickBot="1" x14ac:dyDescent="0.25">
      <c r="B4" s="4"/>
      <c r="C4" s="11" t="s">
        <v>0</v>
      </c>
      <c r="D4" s="15" t="s">
        <v>3</v>
      </c>
      <c r="E4" s="5"/>
      <c r="F4" s="11" t="s">
        <v>1</v>
      </c>
      <c r="G4" s="16">
        <v>46402</v>
      </c>
      <c r="H4" s="5"/>
      <c r="I4" s="7" t="s">
        <v>2</v>
      </c>
      <c r="J4" s="17">
        <v>260</v>
      </c>
      <c r="K4" s="5"/>
      <c r="L4" s="6"/>
    </row>
    <row r="5" spans="1:12" ht="17" thickBot="1" x14ac:dyDescent="0.25">
      <c r="B5" s="4"/>
      <c r="C5" s="12" t="s">
        <v>4</v>
      </c>
      <c r="D5" s="13" cm="1">
        <f t="array" ref="D5">_xldudf_OPTIONSAMURAI_STOCK(D4, "stock_last")</f>
        <v>247.65</v>
      </c>
      <c r="E5" s="5"/>
      <c r="F5" s="5"/>
      <c r="G5" s="19" t="str">
        <f>YEAR(G4) &amp; "-" &amp; TEXT(MONTH(G4), "00") &amp; "-" &amp; TEXT(DAY(G4), "00")</f>
        <v>2027-01-15</v>
      </c>
      <c r="H5" s="5"/>
      <c r="I5" s="14" t="s">
        <v>5</v>
      </c>
      <c r="J5" s="18" cm="1">
        <f t="array" ref="J5">_xldudf_OPTIONSAMURAI_OPTION(D4, "CALL", G5, J4, "bid")</f>
        <v>24.5</v>
      </c>
      <c r="K5" s="5"/>
      <c r="L5" s="6"/>
    </row>
    <row r="6" spans="1:12" ht="17" thickTop="1" x14ac:dyDescent="0.2">
      <c r="B6" s="4"/>
      <c r="C6" s="5"/>
      <c r="D6" s="5"/>
      <c r="E6" s="5"/>
      <c r="F6" s="5"/>
      <c r="G6" s="5"/>
      <c r="H6" s="5"/>
      <c r="I6" s="20" t="s">
        <v>6</v>
      </c>
      <c r="J6" s="21" cm="1">
        <f t="array" ref="J6">_xldudf_OPTIONSAMURAI_OPTION(D4, "CALL", G5, J4, "ask")</f>
        <v>24.75</v>
      </c>
      <c r="K6" s="5"/>
      <c r="L6" s="6"/>
    </row>
    <row r="7" spans="1:12" ht="17" thickBot="1" x14ac:dyDescent="0.25">
      <c r="B7" s="8"/>
      <c r="C7" s="9"/>
      <c r="D7" s="9"/>
      <c r="E7" s="9"/>
      <c r="F7" s="9"/>
      <c r="G7" s="9"/>
      <c r="H7" s="9"/>
      <c r="I7" s="9"/>
      <c r="J7" s="9"/>
      <c r="K7" s="9"/>
      <c r="L7" s="10"/>
    </row>
    <row r="14" spans="1:12" ht="17" thickBot="1" x14ac:dyDescent="0.25">
      <c r="K14" s="22"/>
    </row>
    <row r="15" spans="1:12" x14ac:dyDescent="0.2">
      <c r="A15" s="23" t="s">
        <v>7</v>
      </c>
      <c r="B15" s="27" t="s">
        <v>8</v>
      </c>
      <c r="C15" s="28" t="s">
        <v>9</v>
      </c>
    </row>
    <row r="16" spans="1:12" x14ac:dyDescent="0.2">
      <c r="A16" s="24" cm="1">
        <f t="array" ref="A16">_xldudf_OPTIONSAMURAI_OPTION($D$4, "CALL", $G$5, "-10N", "strike")</f>
        <v>175</v>
      </c>
      <c r="B16" s="30">
        <f xml:space="preserve">
(
    MAX(A16 - $J$4, 0)
    - $J$6
) * 100</f>
        <v>-2475</v>
      </c>
      <c r="C16" s="29">
        <f>(
    $J$5
    - MAX(A16 - $J$4, 0)
) * 100</f>
        <v>2450</v>
      </c>
    </row>
    <row r="17" spans="1:3" x14ac:dyDescent="0.2">
      <c r="A17" s="25" cm="1">
        <f t="array" ref="A17">_xldudf_OPTIONSAMURAI_OPTION($D$4, "CALL", $G$5, "-9N", "strike")</f>
        <v>180</v>
      </c>
      <c r="B17" s="30">
        <f t="shared" ref="B17:B35" si="0" xml:space="preserve">
(
    MAX(A17 - $J$4, 0)
    - $J$6
) * 100</f>
        <v>-2475</v>
      </c>
      <c r="C17" s="31">
        <f t="shared" ref="C17:C35" si="1">(
    $J$5
    - MAX(A17 - $J$4, 0)
) * 100</f>
        <v>2450</v>
      </c>
    </row>
    <row r="18" spans="1:3" x14ac:dyDescent="0.2">
      <c r="A18" s="25" cm="1">
        <f t="array" ref="A18">_xldudf_OPTIONSAMURAI_OPTION($D$4, "CALL", $G$5, "-8N", "strike")</f>
        <v>185</v>
      </c>
      <c r="B18" s="30">
        <f t="shared" si="0"/>
        <v>-2475</v>
      </c>
      <c r="C18" s="31">
        <f t="shared" si="1"/>
        <v>2450</v>
      </c>
    </row>
    <row r="19" spans="1:3" x14ac:dyDescent="0.2">
      <c r="A19" s="25" cm="1">
        <f t="array" ref="A19">_xldudf_OPTIONSAMURAI_OPTION($D$4, "CALL", $G$5, "-7N", "strike")</f>
        <v>190</v>
      </c>
      <c r="B19" s="30">
        <f t="shared" si="0"/>
        <v>-2475</v>
      </c>
      <c r="C19" s="31">
        <f t="shared" si="1"/>
        <v>2450</v>
      </c>
    </row>
    <row r="20" spans="1:3" x14ac:dyDescent="0.2">
      <c r="A20" s="25" cm="1">
        <f t="array" ref="A20">_xldudf_OPTIONSAMURAI_OPTION($D$4, "CALL", $G$5, "-6N", "strike")</f>
        <v>195</v>
      </c>
      <c r="B20" s="30">
        <f t="shared" si="0"/>
        <v>-2475</v>
      </c>
      <c r="C20" s="31">
        <f t="shared" si="1"/>
        <v>2450</v>
      </c>
    </row>
    <row r="21" spans="1:3" x14ac:dyDescent="0.2">
      <c r="A21" s="25" cm="1">
        <f t="array" ref="A21">_xldudf_OPTIONSAMURAI_OPTION($D$4, "CALL", $G$5, "-5N", "strike")</f>
        <v>200</v>
      </c>
      <c r="B21" s="30">
        <f t="shared" si="0"/>
        <v>-2475</v>
      </c>
      <c r="C21" s="31">
        <f t="shared" si="1"/>
        <v>2450</v>
      </c>
    </row>
    <row r="22" spans="1:3" x14ac:dyDescent="0.2">
      <c r="A22" s="25" cm="1">
        <f t="array" ref="A22">_xldudf_OPTIONSAMURAI_OPTION($D$4, "CALL", $G$5, "-4N", "strike")</f>
        <v>210</v>
      </c>
      <c r="B22" s="30">
        <f t="shared" si="0"/>
        <v>-2475</v>
      </c>
      <c r="C22" s="31">
        <f t="shared" si="1"/>
        <v>2450</v>
      </c>
    </row>
    <row r="23" spans="1:3" x14ac:dyDescent="0.2">
      <c r="A23" s="25" cm="1">
        <f t="array" ref="A23">_xldudf_OPTIONSAMURAI_OPTION($D$4, "CALL", $G$5, "-3N", "strike")</f>
        <v>220</v>
      </c>
      <c r="B23" s="30">
        <f t="shared" si="0"/>
        <v>-2475</v>
      </c>
      <c r="C23" s="31">
        <f t="shared" si="1"/>
        <v>2450</v>
      </c>
    </row>
    <row r="24" spans="1:3" x14ac:dyDescent="0.2">
      <c r="A24" s="25" cm="1">
        <f t="array" ref="A24">_xldudf_OPTIONSAMURAI_OPTION($D$4, "CALL", $G$5, "-2N", "strike")</f>
        <v>230</v>
      </c>
      <c r="B24" s="30">
        <f t="shared" si="0"/>
        <v>-2475</v>
      </c>
      <c r="C24" s="31">
        <f t="shared" si="1"/>
        <v>2450</v>
      </c>
    </row>
    <row r="25" spans="1:3" x14ac:dyDescent="0.2">
      <c r="A25" s="25" cm="1">
        <f t="array" ref="A25">_xldudf_OPTIONSAMURAI_OPTION($D$4, "CALL", $G$5, "-1N", "strike")</f>
        <v>240</v>
      </c>
      <c r="B25" s="30">
        <f t="shared" si="0"/>
        <v>-2475</v>
      </c>
      <c r="C25" s="31">
        <f t="shared" si="1"/>
        <v>2450</v>
      </c>
    </row>
    <row r="26" spans="1:3" x14ac:dyDescent="0.2">
      <c r="A26" s="25" cm="1">
        <f t="array" ref="A26">_xldudf_OPTIONSAMURAI_OPTION($D$4, "CALL", $G$5, "1N", "strike")</f>
        <v>250</v>
      </c>
      <c r="B26" s="30">
        <f t="shared" si="0"/>
        <v>-2475</v>
      </c>
      <c r="C26" s="31">
        <f t="shared" si="1"/>
        <v>2450</v>
      </c>
    </row>
    <row r="27" spans="1:3" x14ac:dyDescent="0.2">
      <c r="A27" s="25" cm="1">
        <f t="array" ref="A27">_xldudf_OPTIONSAMURAI_OPTION($D$4, "CALL", $G$5, "2N", "strike")</f>
        <v>260</v>
      </c>
      <c r="B27" s="30">
        <f t="shared" si="0"/>
        <v>-2475</v>
      </c>
      <c r="C27" s="31">
        <f t="shared" si="1"/>
        <v>2450</v>
      </c>
    </row>
    <row r="28" spans="1:3" x14ac:dyDescent="0.2">
      <c r="A28" s="25" cm="1">
        <f t="array" ref="A28">_xldudf_OPTIONSAMURAI_OPTION($D$4, "CALL", $G$5, "3N", "strike")</f>
        <v>270</v>
      </c>
      <c r="B28" s="30">
        <f t="shared" si="0"/>
        <v>-1475</v>
      </c>
      <c r="C28" s="31">
        <f t="shared" si="1"/>
        <v>1450</v>
      </c>
    </row>
    <row r="29" spans="1:3" x14ac:dyDescent="0.2">
      <c r="A29" s="25" cm="1">
        <f t="array" ref="A29">_xldudf_OPTIONSAMURAI_OPTION($D$4, "CALL", $G$5, "4N", "strike")</f>
        <v>280</v>
      </c>
      <c r="B29" s="30">
        <f t="shared" si="0"/>
        <v>-475</v>
      </c>
      <c r="C29" s="31">
        <f t="shared" si="1"/>
        <v>450</v>
      </c>
    </row>
    <row r="30" spans="1:3" x14ac:dyDescent="0.2">
      <c r="A30" s="25" cm="1">
        <f t="array" ref="A30">_xldudf_OPTIONSAMURAI_OPTION($D$4, "CALL", $G$5, "5N", "strike")</f>
        <v>290</v>
      </c>
      <c r="B30" s="30">
        <f t="shared" si="0"/>
        <v>525</v>
      </c>
      <c r="C30" s="31">
        <f t="shared" si="1"/>
        <v>-550</v>
      </c>
    </row>
    <row r="31" spans="1:3" x14ac:dyDescent="0.2">
      <c r="A31" s="25" cm="1">
        <f t="array" ref="A31">_xldudf_OPTIONSAMURAI_OPTION($D$4, "CALL", $G$5, "6N", "strike")</f>
        <v>300</v>
      </c>
      <c r="B31" s="30">
        <f t="shared" si="0"/>
        <v>1525</v>
      </c>
      <c r="C31" s="31">
        <f t="shared" si="1"/>
        <v>-1550</v>
      </c>
    </row>
    <row r="32" spans="1:3" x14ac:dyDescent="0.2">
      <c r="A32" s="25" cm="1">
        <f t="array" ref="A32">_xldudf_OPTIONSAMURAI_OPTION($D$4, "CALL", $G$5, "7N", "strike")</f>
        <v>310</v>
      </c>
      <c r="B32" s="30">
        <f t="shared" si="0"/>
        <v>2525</v>
      </c>
      <c r="C32" s="31">
        <f t="shared" si="1"/>
        <v>-2550</v>
      </c>
    </row>
    <row r="33" spans="1:3" x14ac:dyDescent="0.2">
      <c r="A33" s="25" cm="1">
        <f t="array" ref="A33">_xldudf_OPTIONSAMURAI_OPTION($D$4, "CALL", $G$5, "8N", "strike")</f>
        <v>320</v>
      </c>
      <c r="B33" s="30">
        <f t="shared" si="0"/>
        <v>3525</v>
      </c>
      <c r="C33" s="31">
        <f t="shared" si="1"/>
        <v>-3550</v>
      </c>
    </row>
    <row r="34" spans="1:3" x14ac:dyDescent="0.2">
      <c r="A34" s="25" cm="1">
        <f t="array" ref="A34">_xldudf_OPTIONSAMURAI_OPTION($D$4, "CALL", $G$5, "9N", "strike")</f>
        <v>330</v>
      </c>
      <c r="B34" s="30">
        <f t="shared" si="0"/>
        <v>4525</v>
      </c>
      <c r="C34" s="31">
        <f t="shared" si="1"/>
        <v>-4550</v>
      </c>
    </row>
    <row r="35" spans="1:3" x14ac:dyDescent="0.2">
      <c r="A35" s="26" cm="1">
        <f t="array" ref="A35">_xldudf_OPTIONSAMURAI_OPTION($D$4, "CALL", $G$5, "10N", "strike")</f>
        <v>340</v>
      </c>
      <c r="B35" s="32">
        <f t="shared" si="0"/>
        <v>5525</v>
      </c>
      <c r="C35" s="33">
        <f t="shared" si="1"/>
        <v>-5550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Call Diagram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2026-01-22T12:48:12Z</dcterms:created>
  <dcterms:modified xsi:type="dcterms:W3CDTF">2026-02-25T16:41:24Z</dcterms:modified>
</cp:coreProperties>
</file>